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4EDD84AB-AB67-421C-89C3-C2FBC1608DA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fly heads 2021" sheetId="5" r:id="rId1"/>
    <sheet name="summary" sheetId="6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8" i="5" l="1"/>
  <c r="L27" i="5"/>
  <c r="G38" i="5"/>
  <c r="G37" i="5"/>
  <c r="G36" i="5"/>
  <c r="G35" i="5"/>
  <c r="G33" i="5"/>
  <c r="G34" i="5"/>
  <c r="F34" i="5"/>
  <c r="F38" i="5"/>
  <c r="F37" i="5"/>
  <c r="F36" i="5"/>
  <c r="F35" i="5"/>
  <c r="F33" i="5"/>
  <c r="I27" i="5" l="1"/>
  <c r="F6" i="6" l="1"/>
  <c r="G5" i="6"/>
  <c r="F8" i="6"/>
  <c r="F9" i="6"/>
  <c r="G6" i="6"/>
  <c r="I28" i="5"/>
  <c r="E22" i="5"/>
  <c r="E21" i="5"/>
  <c r="E20" i="5"/>
  <c r="E19" i="5"/>
  <c r="E18" i="5"/>
  <c r="E17" i="5"/>
  <c r="E16" i="5"/>
  <c r="E15" i="5"/>
  <c r="E14" i="5"/>
  <c r="E13" i="5"/>
  <c r="E28" i="5" s="1"/>
  <c r="E12" i="5"/>
  <c r="E11" i="5"/>
  <c r="E10" i="5"/>
  <c r="E9" i="5"/>
  <c r="E8" i="5"/>
  <c r="E7" i="5"/>
  <c r="E6" i="5"/>
  <c r="E5" i="5"/>
  <c r="E4" i="5"/>
  <c r="E27" i="5" s="1"/>
  <c r="G47" i="5" l="1"/>
  <c r="G43" i="5"/>
  <c r="G53" i="5"/>
  <c r="G7" i="6"/>
  <c r="F10" i="6"/>
  <c r="G8" i="6"/>
  <c r="G9" i="6"/>
  <c r="F5" i="6"/>
  <c r="G10" i="6"/>
  <c r="F7" i="6"/>
  <c r="G48" i="5"/>
  <c r="F45" i="5" l="1"/>
  <c r="G45" i="5"/>
  <c r="F44" i="5"/>
  <c r="G44" i="5"/>
  <c r="F46" i="5"/>
  <c r="G46" i="5"/>
  <c r="F54" i="5"/>
  <c r="G54" i="5"/>
  <c r="J6" i="6" s="1"/>
  <c r="F55" i="5"/>
  <c r="I7" i="6" s="1"/>
  <c r="G55" i="5"/>
  <c r="J7" i="6" s="1"/>
  <c r="F56" i="5"/>
  <c r="I8" i="6" s="1"/>
  <c r="G56" i="5"/>
  <c r="J8" i="6" s="1"/>
  <c r="F57" i="5"/>
  <c r="G57" i="5"/>
  <c r="F58" i="5"/>
  <c r="I9" i="6" s="1"/>
  <c r="G58" i="5"/>
  <c r="J9" i="6" s="1"/>
  <c r="J5" i="6"/>
  <c r="F53" i="5"/>
  <c r="I5" i="6" s="1"/>
  <c r="I6" i="6"/>
  <c r="I10" i="6"/>
  <c r="J10" i="6"/>
  <c r="F43" i="5"/>
  <c r="C5" i="6" s="1"/>
  <c r="C7" i="6"/>
  <c r="D7" i="6"/>
  <c r="C6" i="6"/>
  <c r="D6" i="6"/>
  <c r="D5" i="6"/>
  <c r="F47" i="5" l="1"/>
  <c r="C10" i="6" s="1"/>
  <c r="D10" i="6"/>
  <c r="C8" i="6"/>
  <c r="D8" i="6"/>
  <c r="F48" i="5"/>
  <c r="C9" i="6" s="1"/>
  <c r="D9" i="6"/>
</calcChain>
</file>

<file path=xl/sharedStrings.xml><?xml version="1.0" encoding="utf-8"?>
<sst xmlns="http://schemas.openxmlformats.org/spreadsheetml/2006/main" count="116" uniqueCount="48">
  <si>
    <t>nd</t>
  </si>
  <si>
    <t>NAMPT</t>
  </si>
  <si>
    <t>NRK</t>
  </si>
  <si>
    <t>NaPRT</t>
  </si>
  <si>
    <t>QaPRT</t>
  </si>
  <si>
    <t>Nam deamidase</t>
  </si>
  <si>
    <t>-</t>
  </si>
  <si>
    <t>fly heads</t>
  </si>
  <si>
    <t>pmol/h/ug</t>
  </si>
  <si>
    <t>value obtained under modified assay conditions (+Pi &amp; high Mg2+)</t>
  </si>
  <si>
    <t>AVG</t>
  </si>
  <si>
    <t>pmol/h/mgFW</t>
  </si>
  <si>
    <t>ul</t>
  </si>
  <si>
    <t>mg/ml</t>
  </si>
  <si>
    <t>stand dev</t>
  </si>
  <si>
    <t>stdev</t>
  </si>
  <si>
    <t>nmol/h/ug</t>
  </si>
  <si>
    <t>weight (mg)</t>
  </si>
  <si>
    <t>n.</t>
  </si>
  <si>
    <t>mg FW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</si>
  <si>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 lysis</t>
    </r>
  </si>
  <si>
    <t>after sonication/centrifuge</t>
  </si>
  <si>
    <t>after G25 (PD10)</t>
  </si>
  <si>
    <t>NMNAT</t>
  </si>
  <si>
    <t>NADS</t>
  </si>
  <si>
    <t>nmol/h/mgFW</t>
  </si>
  <si>
    <t>pmol/h/ug prot</t>
  </si>
  <si>
    <t>epp 11-20</t>
  </si>
  <si>
    <t>resuspension</t>
  </si>
  <si>
    <t>epp 1-10</t>
  </si>
  <si>
    <t>I rep</t>
  </si>
  <si>
    <t>II rep</t>
  </si>
  <si>
    <t>2021 fly heads (n2)</t>
  </si>
  <si>
    <t>pmol/h/50 heads</t>
  </si>
  <si>
    <t>nmol/h/50 heads</t>
  </si>
  <si>
    <t>eppendorf 1-10</t>
  </si>
  <si>
    <t>eppendorf 11-20</t>
  </si>
  <si>
    <t>eppendorf nº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</si>
  <si>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 tot</t>
    </r>
  </si>
  <si>
    <t>dNaam</t>
  </si>
  <si>
    <t>Nrk</t>
  </si>
  <si>
    <t>Naprt</t>
  </si>
  <si>
    <t>Qaprt</t>
  </si>
  <si>
    <t>NaDS</t>
  </si>
  <si>
    <t>dNamnat</t>
  </si>
  <si>
    <t>Nampt</t>
  </si>
  <si>
    <r>
      <rPr>
        <sz val="11"/>
        <color theme="1"/>
        <rFont val="Calibri"/>
        <family val="2"/>
      </rPr>
      <t>~</t>
    </r>
    <r>
      <rPr>
        <sz val="11"/>
        <color theme="1"/>
        <rFont val="Calibri"/>
        <family val="2"/>
        <scheme val="minor"/>
      </rPr>
      <t>400</t>
    </r>
  </si>
  <si>
    <t>~250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</si>
</sst>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165" fontId="1" fillId="5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7" borderId="0" xfId="0" applyNumberFormat="1" applyFont="1" applyFill="1" applyAlignment="1">
      <alignment horizontal="center"/>
    </xf>
    <xf numFmtId="165" fontId="1" fillId="9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2" fontId="1" fillId="5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2" fontId="1" fillId="6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4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4" borderId="0" xfId="0" applyFill="1"/>
    <xf numFmtId="0" fontId="1" fillId="4" borderId="0" xfId="0" applyFont="1" applyFill="1"/>
    <xf numFmtId="2" fontId="0" fillId="0" borderId="5" xfId="0" applyNumberForma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2" borderId="0" xfId="0" applyFill="1"/>
    <xf numFmtId="0" fontId="3" fillId="2" borderId="0" xfId="0" applyFont="1" applyFill="1" applyAlignment="1">
      <alignment horizontal="center"/>
    </xf>
    <xf numFmtId="0" fontId="0" fillId="0" borderId="5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165" fontId="1" fillId="8" borderId="0" xfId="0" applyNumberFormat="1" applyFont="1" applyFill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7" borderId="0" xfId="0" applyNumberFormat="1" applyFont="1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2" fontId="1" fillId="9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5" borderId="0" xfId="0" applyFont="1" applyFill="1" applyAlignment="1">
      <alignment horizontal="right"/>
    </xf>
    <xf numFmtId="0" fontId="1" fillId="6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7" borderId="0" xfId="0" applyFont="1" applyFill="1" applyAlignment="1">
      <alignment horizontal="right"/>
    </xf>
    <xf numFmtId="0" fontId="1" fillId="8" borderId="0" xfId="0" applyFont="1" applyFill="1" applyAlignment="1">
      <alignment horizontal="right"/>
    </xf>
    <xf numFmtId="0" fontId="1" fillId="9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165" fontId="1" fillId="3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12" xfId="0" applyNumberFormat="1" applyFont="1" applyBorder="1" applyAlignment="1">
      <alignment horizontal="center"/>
    </xf>
    <xf numFmtId="165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Normale" xfId="0" builtinId="0"/>
    <cellStyle name="Normale 12" xfId="1" xr:uid="{F68735D1-BD47-454F-8D9E-8EA064ADCA58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pmol/h/µg protein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172569444444446E-2"/>
          <c:y val="9.5032456942294161E-2"/>
          <c:w val="0.86332048611111112"/>
          <c:h val="0.6364162068791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'fly heads 2021'!$G$33:$G$38</c:f>
                <c:numCache>
                  <c:formatCode>General</c:formatCode>
                  <c:ptCount val="6"/>
                  <c:pt idx="0">
                    <c:v>1.4142135623730954E-2</c:v>
                  </c:pt>
                  <c:pt idx="1">
                    <c:v>1.4142135623730951E-2</c:v>
                  </c:pt>
                  <c:pt idx="2">
                    <c:v>1.0606601717798243E-2</c:v>
                  </c:pt>
                  <c:pt idx="3">
                    <c:v>2.4748737341529183E-2</c:v>
                  </c:pt>
                  <c:pt idx="4">
                    <c:v>1.1242997820866103</c:v>
                  </c:pt>
                  <c:pt idx="5">
                    <c:v>1.0606601717798223E-3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'fly heads 2021'!$B$33:$B$39</c:f>
              <c:strCache>
                <c:ptCount val="7"/>
                <c:pt idx="0">
                  <c:v>Nrk</c:v>
                </c:pt>
                <c:pt idx="1">
                  <c:v>Naprt</c:v>
                </c:pt>
                <c:pt idx="2">
                  <c:v>Qaprt</c:v>
                </c:pt>
                <c:pt idx="3">
                  <c:v>dNaam</c:v>
                </c:pt>
                <c:pt idx="4">
                  <c:v>NaDS</c:v>
                </c:pt>
                <c:pt idx="5">
                  <c:v>dNamnat</c:v>
                </c:pt>
                <c:pt idx="6">
                  <c:v>Nampt</c:v>
                </c:pt>
              </c:strCache>
            </c:strRef>
          </c:cat>
          <c:val>
            <c:numRef>
              <c:f>'fly heads 2021'!$F$33:$F$39</c:f>
              <c:numCache>
                <c:formatCode>0.000</c:formatCode>
                <c:ptCount val="7"/>
                <c:pt idx="0">
                  <c:v>0.12</c:v>
                </c:pt>
                <c:pt idx="1">
                  <c:v>0.01</c:v>
                </c:pt>
                <c:pt idx="2">
                  <c:v>5.7500000000000002E-2</c:v>
                </c:pt>
                <c:pt idx="3">
                  <c:v>0.3725</c:v>
                </c:pt>
                <c:pt idx="4">
                  <c:v>2.0049999999999999</c:v>
                </c:pt>
                <c:pt idx="5">
                  <c:v>2.4250000000000001E-2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5-413E-A76A-EA3C55FDD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465720"/>
        <c:axId val="681469328"/>
      </c:barChart>
      <c:catAx>
        <c:axId val="68146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9328"/>
        <c:crosses val="autoZero"/>
        <c:auto val="1"/>
        <c:lblAlgn val="ctr"/>
        <c:lblOffset val="100"/>
        <c:noMultiLvlLbl val="0"/>
      </c:catAx>
      <c:valAx>
        <c:axId val="681469328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5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pmol/h/mg tissue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928826339671343E-2"/>
          <c:y val="0.13546993969881274"/>
          <c:w val="0.85234990815624512"/>
          <c:h val="0.5602315499494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'fly heads 2021'!$G$43:$G$48</c:f>
                <c:numCache>
                  <c:formatCode>General</c:formatCode>
                  <c:ptCount val="6"/>
                  <c:pt idx="0">
                    <c:v>1.6065466068558361</c:v>
                  </c:pt>
                  <c:pt idx="1">
                    <c:v>0.39810111780802621</c:v>
                  </c:pt>
                  <c:pt idx="2">
                    <c:v>0.40870771952582491</c:v>
                  </c:pt>
                  <c:pt idx="3">
                    <c:v>4.5297260402810249</c:v>
                  </c:pt>
                  <c:pt idx="4">
                    <c:v>44.655207445492849</c:v>
                  </c:pt>
                  <c:pt idx="5">
                    <c:v>0.28284271247461895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'fly heads 2021'!$B$43:$B$49</c:f>
              <c:strCache>
                <c:ptCount val="7"/>
                <c:pt idx="0">
                  <c:v>Nrk</c:v>
                </c:pt>
                <c:pt idx="1">
                  <c:v>Naprt</c:v>
                </c:pt>
                <c:pt idx="2">
                  <c:v>Qaprt</c:v>
                </c:pt>
                <c:pt idx="3">
                  <c:v>dNaam</c:v>
                </c:pt>
                <c:pt idx="4">
                  <c:v>NaDS</c:v>
                </c:pt>
                <c:pt idx="5">
                  <c:v>dNamnat</c:v>
                </c:pt>
                <c:pt idx="6">
                  <c:v>Nampt</c:v>
                </c:pt>
              </c:strCache>
            </c:strRef>
          </c:cat>
          <c:val>
            <c:numRef>
              <c:f>'fly heads 2021'!$F$43:$F$49</c:f>
              <c:numCache>
                <c:formatCode>0.00</c:formatCode>
                <c:ptCount val="7"/>
                <c:pt idx="0">
                  <c:v>2.5219999999999998</c:v>
                </c:pt>
                <c:pt idx="1">
                  <c:v>0.28149999999999997</c:v>
                </c:pt>
                <c:pt idx="2">
                  <c:v>1.1179999999999999</c:v>
                </c:pt>
                <c:pt idx="3">
                  <c:v>7.7700000000000005</c:v>
                </c:pt>
                <c:pt idx="4" formatCode="0.0">
                  <c:v>47.202000000000005</c:v>
                </c:pt>
                <c:pt idx="5">
                  <c:v>0.503</c:v>
                </c:pt>
                <c:pt idx="6" formatCode="0.0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E-42B1-B6C8-0C62539BD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465720"/>
        <c:axId val="681469328"/>
      </c:barChart>
      <c:catAx>
        <c:axId val="68146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9328"/>
        <c:crosses val="autoZero"/>
        <c:auto val="1"/>
        <c:lblAlgn val="ctr"/>
        <c:lblOffset val="100"/>
        <c:noMultiLvlLbl val="0"/>
      </c:catAx>
      <c:valAx>
        <c:axId val="68146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57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pmol/h/50 heads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928826339671343E-2"/>
          <c:y val="0.14104347152609512"/>
          <c:w val="0.85234990815624512"/>
          <c:h val="0.5737018842455825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'fly heads 2021'!$G$53:$G$58</c:f>
                <c:numCache>
                  <c:formatCode>General</c:formatCode>
                  <c:ptCount val="6"/>
                  <c:pt idx="0">
                    <c:v>7.0993520831129358</c:v>
                  </c:pt>
                  <c:pt idx="1">
                    <c:v>1.7324116139070416</c:v>
                  </c:pt>
                  <c:pt idx="2">
                    <c:v>1.8193857479929885</c:v>
                  </c:pt>
                  <c:pt idx="3">
                    <c:v>19.770705601975866</c:v>
                  </c:pt>
                  <c:pt idx="4">
                    <c:v>194.41193841942936</c:v>
                  </c:pt>
                  <c:pt idx="5">
                    <c:v>1.2346084399517125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'fly heads 2021'!$B$53:$B$59</c:f>
              <c:strCache>
                <c:ptCount val="7"/>
                <c:pt idx="0">
                  <c:v>Nrk</c:v>
                </c:pt>
                <c:pt idx="1">
                  <c:v>Naprt</c:v>
                </c:pt>
                <c:pt idx="2">
                  <c:v>Qaprt</c:v>
                </c:pt>
                <c:pt idx="3">
                  <c:v>dNaam</c:v>
                </c:pt>
                <c:pt idx="4">
                  <c:v>NaDS</c:v>
                </c:pt>
                <c:pt idx="5">
                  <c:v>dNamnat</c:v>
                </c:pt>
                <c:pt idx="6">
                  <c:v>Nampt</c:v>
                </c:pt>
              </c:strCache>
            </c:strRef>
          </c:cat>
          <c:val>
            <c:numRef>
              <c:f>'fly heads 2021'!$F$53:$F$59</c:f>
              <c:numCache>
                <c:formatCode>0.00</c:formatCode>
                <c:ptCount val="7"/>
                <c:pt idx="0">
                  <c:v>10.905000000000001</c:v>
                </c:pt>
                <c:pt idx="1">
                  <c:v>1.2250000000000001</c:v>
                </c:pt>
                <c:pt idx="2">
                  <c:v>4.8514999999999997</c:v>
                </c:pt>
                <c:pt idx="3" formatCode="0.000">
                  <c:v>33.795000000000002</c:v>
                </c:pt>
                <c:pt idx="4" formatCode="0.0">
                  <c:v>205.53</c:v>
                </c:pt>
                <c:pt idx="5">
                  <c:v>2.19</c:v>
                </c:pt>
                <c:pt idx="6" formatCode="0.0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8-4D24-B592-D4B1E5970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465720"/>
        <c:axId val="681469328"/>
      </c:barChart>
      <c:catAx>
        <c:axId val="68146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9328"/>
        <c:crosses val="autoZero"/>
        <c:auto val="1"/>
        <c:lblAlgn val="ctr"/>
        <c:lblOffset val="100"/>
        <c:noMultiLvlLbl val="0"/>
      </c:catAx>
      <c:valAx>
        <c:axId val="681469328"/>
        <c:scaling>
          <c:orientation val="minMax"/>
          <c:max val="4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814657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35170</xdr:colOff>
      <xdr:row>31</xdr:row>
      <xdr:rowOff>23446</xdr:rowOff>
    </xdr:from>
    <xdr:to>
      <xdr:col>12</xdr:col>
      <xdr:colOff>391779</xdr:colOff>
      <xdr:row>40</xdr:row>
      <xdr:rowOff>106015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63BF2C2-DBE8-4222-BD81-1810CB39C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11722</xdr:colOff>
      <xdr:row>41</xdr:row>
      <xdr:rowOff>0</xdr:rowOff>
    </xdr:from>
    <xdr:to>
      <xdr:col>12</xdr:col>
      <xdr:colOff>382985</xdr:colOff>
      <xdr:row>50</xdr:row>
      <xdr:rowOff>35679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DA47311-ECF7-4B1B-814C-85A24D674D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23447</xdr:colOff>
      <xdr:row>50</xdr:row>
      <xdr:rowOff>174088</xdr:rowOff>
    </xdr:from>
    <xdr:to>
      <xdr:col>12</xdr:col>
      <xdr:colOff>394710</xdr:colOff>
      <xdr:row>60</xdr:row>
      <xdr:rowOff>129462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78887E4-08F6-40A4-91A4-817D98CE4D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11</xdr:col>
      <xdr:colOff>486508</xdr:colOff>
      <xdr:row>46</xdr:row>
      <xdr:rowOff>11723</xdr:rowOff>
    </xdr:from>
    <xdr:ext cx="332912" cy="264560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2BA7748-E9B3-86EB-5069-5BCD5DED0BCD}"/>
            </a:ext>
          </a:extLst>
        </xdr:cNvPr>
        <xdr:cNvSpPr txBox="1"/>
      </xdr:nvSpPr>
      <xdr:spPr>
        <a:xfrm>
          <a:off x="7772400" y="8417169"/>
          <a:ext cx="3329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nd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0.82127</cdr:x>
      <cdr:y>0.59737</cdr:y>
    </cdr:from>
    <cdr:to>
      <cdr:x>0.93976</cdr:x>
      <cdr:y>0.74828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02BA7748-E9B3-86EB-5069-5BCD5DED0BCD}"/>
            </a:ext>
          </a:extLst>
        </cdr:cNvPr>
        <cdr:cNvSpPr txBox="1"/>
      </cdr:nvSpPr>
      <cdr:spPr>
        <a:xfrm xmlns:a="http://schemas.openxmlformats.org/drawingml/2006/main">
          <a:off x="2307492" y="1047262"/>
          <a:ext cx="33291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nd</a:t>
          </a:r>
        </a:p>
      </cdr:txBody>
    </cdr:sp>
  </cdr:relSizeAnchor>
  <cdr:relSizeAnchor xmlns:cdr="http://schemas.openxmlformats.org/drawingml/2006/chartDrawing">
    <cdr:from>
      <cdr:x>0.4687</cdr:x>
      <cdr:y>0.32655</cdr:y>
    </cdr:from>
    <cdr:to>
      <cdr:x>0.56286</cdr:x>
      <cdr:y>0.69684</cdr:y>
    </cdr:to>
    <cdr:sp macro="" textlink="">
      <cdr:nvSpPr>
        <cdr:cNvPr id="3" name="CasellaDiTesto 3">
          <a:extLst xmlns:a="http://schemas.openxmlformats.org/drawingml/2006/main">
            <a:ext uri="{FF2B5EF4-FFF2-40B4-BE49-F238E27FC236}">
              <a16:creationId xmlns:a16="http://schemas.microsoft.com/office/drawing/2014/main" id="{0F8CAD13-5AE6-DCF0-B263-C98B60347336}"/>
            </a:ext>
          </a:extLst>
        </cdr:cNvPr>
        <cdr:cNvSpPr txBox="1"/>
      </cdr:nvSpPr>
      <cdr:spPr>
        <a:xfrm xmlns:a="http://schemas.openxmlformats.org/drawingml/2006/main" rot="16200000">
          <a:off x="1124597" y="764773"/>
          <a:ext cx="64915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(x 1000)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0.47287</cdr:x>
      <cdr:y>0.26338</cdr:y>
    </cdr:from>
    <cdr:to>
      <cdr:x>0.56703</cdr:x>
      <cdr:y>0.64384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0F8CAD13-5AE6-DCF0-B263-C98B60347336}"/>
            </a:ext>
          </a:extLst>
        </cdr:cNvPr>
        <cdr:cNvSpPr txBox="1"/>
      </cdr:nvSpPr>
      <cdr:spPr>
        <a:xfrm xmlns:a="http://schemas.openxmlformats.org/drawingml/2006/main" rot="16200000">
          <a:off x="1136320" y="641681"/>
          <a:ext cx="64915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(x 1000)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0.8171</cdr:x>
      <cdr:y>0.57055</cdr:y>
    </cdr:from>
    <cdr:to>
      <cdr:x>0.93559</cdr:x>
      <cdr:y>0.71883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02BA7748-E9B3-86EB-5069-5BCD5DED0BCD}"/>
            </a:ext>
          </a:extLst>
        </cdr:cNvPr>
        <cdr:cNvSpPr txBox="1"/>
      </cdr:nvSpPr>
      <cdr:spPr>
        <a:xfrm xmlns:a="http://schemas.openxmlformats.org/drawingml/2006/main">
          <a:off x="2295769" y="1017954"/>
          <a:ext cx="33291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nd</a:t>
          </a:r>
        </a:p>
      </cdr:txBody>
    </cdr:sp>
  </cdr:relSizeAnchor>
  <cdr:relSizeAnchor xmlns:cdr="http://schemas.openxmlformats.org/drawingml/2006/chartDrawing">
    <cdr:from>
      <cdr:x>0.47381</cdr:x>
      <cdr:y>0.31293</cdr:y>
    </cdr:from>
    <cdr:to>
      <cdr:x>0.56797</cdr:x>
      <cdr:y>0.67676</cdr:y>
    </cdr:to>
    <cdr:sp macro="" textlink="">
      <cdr:nvSpPr>
        <cdr:cNvPr id="3" name="CasellaDiTesto 3">
          <a:extLst xmlns:a="http://schemas.openxmlformats.org/drawingml/2006/main">
            <a:ext uri="{FF2B5EF4-FFF2-40B4-BE49-F238E27FC236}">
              <a16:creationId xmlns:a16="http://schemas.microsoft.com/office/drawing/2014/main" id="{02BA7748-E9B3-86EB-5069-5BCD5DED0BCD}"/>
            </a:ext>
          </a:extLst>
        </cdr:cNvPr>
        <cdr:cNvSpPr txBox="1"/>
      </cdr:nvSpPr>
      <cdr:spPr>
        <a:xfrm xmlns:a="http://schemas.openxmlformats.org/drawingml/2006/main" rot="16200000">
          <a:off x="1138937" y="750609"/>
          <a:ext cx="64915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(x 1000)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4B6F8-503C-4D50-827F-11AB95CAEFE6}">
  <dimension ref="B2:P60"/>
  <sheetViews>
    <sheetView zoomScale="130" zoomScaleNormal="130" workbookViewId="0">
      <selection activeCell="N28" sqref="N28"/>
    </sheetView>
  </sheetViews>
  <sheetFormatPr defaultColWidth="9.109375" defaultRowHeight="14.4" x14ac:dyDescent="0.3"/>
  <cols>
    <col min="1" max="2" width="8.88671875" style="10" customWidth="1"/>
    <col min="3" max="3" width="15.5546875" style="10" customWidth="1"/>
    <col min="4" max="5" width="8.88671875" style="10" customWidth="1"/>
    <col min="6" max="8" width="9.44140625" style="10" customWidth="1"/>
    <col min="9" max="13" width="8.88671875" style="10" customWidth="1"/>
    <col min="14" max="16384" width="9.109375" style="10"/>
  </cols>
  <sheetData>
    <row r="2" spans="3:5" x14ac:dyDescent="0.3">
      <c r="C2" s="10" t="s">
        <v>37</v>
      </c>
      <c r="D2" s="10" t="s">
        <v>7</v>
      </c>
      <c r="E2" t="s">
        <v>17</v>
      </c>
    </row>
    <row r="3" spans="3:5" x14ac:dyDescent="0.3">
      <c r="C3" s="10">
        <v>1</v>
      </c>
      <c r="D3" s="10">
        <v>50</v>
      </c>
      <c r="E3" s="10">
        <v>4.28</v>
      </c>
    </row>
    <row r="4" spans="3:5" x14ac:dyDescent="0.3">
      <c r="C4" s="10">
        <v>2</v>
      </c>
      <c r="D4" s="10">
        <v>50</v>
      </c>
      <c r="E4" s="10">
        <f>1011.57-1007.41</f>
        <v>4.1600000000000819</v>
      </c>
    </row>
    <row r="5" spans="3:5" x14ac:dyDescent="0.3">
      <c r="C5" s="10">
        <v>3</v>
      </c>
      <c r="D5" s="10">
        <v>50</v>
      </c>
      <c r="E5" s="10">
        <f>996.7-992.78</f>
        <v>3.9200000000000728</v>
      </c>
    </row>
    <row r="6" spans="3:5" x14ac:dyDescent="0.3">
      <c r="C6" s="10">
        <v>4</v>
      </c>
      <c r="D6" s="10">
        <v>50</v>
      </c>
      <c r="E6" s="10">
        <f>1011.96-1007.34</f>
        <v>4.6200000000000045</v>
      </c>
    </row>
    <row r="7" spans="3:5" x14ac:dyDescent="0.3">
      <c r="C7" s="10">
        <v>5</v>
      </c>
      <c r="D7" s="10">
        <v>50</v>
      </c>
      <c r="E7" s="10">
        <f>1014.3-1009.9</f>
        <v>4.3999999999999773</v>
      </c>
    </row>
    <row r="8" spans="3:5" x14ac:dyDescent="0.3">
      <c r="C8" s="10">
        <v>6</v>
      </c>
      <c r="D8" s="10">
        <v>50</v>
      </c>
      <c r="E8" s="10">
        <f>1011.46-1006.64</f>
        <v>4.82000000000005</v>
      </c>
    </row>
    <row r="9" spans="3:5" x14ac:dyDescent="0.3">
      <c r="C9" s="10">
        <v>7</v>
      </c>
      <c r="D9" s="10">
        <v>50</v>
      </c>
      <c r="E9" s="10">
        <f>1008.55-1003.98</f>
        <v>4.5699999999999363</v>
      </c>
    </row>
    <row r="10" spans="3:5" x14ac:dyDescent="0.3">
      <c r="C10" s="10">
        <v>8</v>
      </c>
      <c r="D10" s="10">
        <v>50</v>
      </c>
      <c r="E10" s="10">
        <f>1011.21-1006.99</f>
        <v>4.2200000000000273</v>
      </c>
    </row>
    <row r="11" spans="3:5" x14ac:dyDescent="0.3">
      <c r="C11" s="10">
        <v>9</v>
      </c>
      <c r="D11" s="10">
        <v>50</v>
      </c>
      <c r="E11" s="10">
        <f>1011.67-1007.5</f>
        <v>4.1699999999999591</v>
      </c>
    </row>
    <row r="12" spans="3:5" x14ac:dyDescent="0.3">
      <c r="C12" s="10">
        <v>10</v>
      </c>
      <c r="D12" s="10">
        <v>50</v>
      </c>
      <c r="E12" s="10">
        <f>1013.25-1009.12</f>
        <v>4.1299999999999955</v>
      </c>
    </row>
    <row r="13" spans="3:5" x14ac:dyDescent="0.3">
      <c r="C13" s="10">
        <v>11</v>
      </c>
      <c r="D13" s="10">
        <v>50</v>
      </c>
      <c r="E13" s="10">
        <f>1014.9-1010.6</f>
        <v>4.2999999999999545</v>
      </c>
    </row>
    <row r="14" spans="3:5" x14ac:dyDescent="0.3">
      <c r="C14" s="10">
        <v>12</v>
      </c>
      <c r="D14" s="10">
        <v>50</v>
      </c>
      <c r="E14" s="10">
        <f>1013.78-1009.72</f>
        <v>4.0599999999999454</v>
      </c>
    </row>
    <row r="15" spans="3:5" x14ac:dyDescent="0.3">
      <c r="C15" s="10">
        <v>13</v>
      </c>
      <c r="D15" s="10">
        <v>50</v>
      </c>
      <c r="E15" s="10">
        <f>1013.94-1009.72</f>
        <v>4.2200000000000273</v>
      </c>
    </row>
    <row r="16" spans="3:5" x14ac:dyDescent="0.3">
      <c r="C16" s="10">
        <v>14</v>
      </c>
      <c r="D16" s="10">
        <v>50</v>
      </c>
      <c r="E16" s="10">
        <f>1013.55-1009.31</f>
        <v>4.2400000000000091</v>
      </c>
    </row>
    <row r="17" spans="2:12" x14ac:dyDescent="0.3">
      <c r="C17" s="10">
        <v>15</v>
      </c>
      <c r="D17" s="10">
        <v>50</v>
      </c>
      <c r="E17" s="10">
        <f>1012-1008.17</f>
        <v>3.8300000000000409</v>
      </c>
    </row>
    <row r="18" spans="2:12" x14ac:dyDescent="0.3">
      <c r="C18" s="10">
        <v>16</v>
      </c>
      <c r="D18" s="10">
        <v>50</v>
      </c>
      <c r="E18" s="10">
        <f>1014.6-1010.03</f>
        <v>4.57000000000005</v>
      </c>
    </row>
    <row r="19" spans="2:12" x14ac:dyDescent="0.3">
      <c r="C19" s="10">
        <v>17</v>
      </c>
      <c r="D19" s="10">
        <v>50</v>
      </c>
      <c r="E19" s="10">
        <f>1006.83-1002.89</f>
        <v>3.9400000000000546</v>
      </c>
    </row>
    <row r="20" spans="2:12" x14ac:dyDescent="0.3">
      <c r="C20" s="10">
        <v>18</v>
      </c>
      <c r="D20" s="10">
        <v>50</v>
      </c>
      <c r="E20" s="10">
        <f>1014.98-1010.62</f>
        <v>4.3600000000000136</v>
      </c>
    </row>
    <row r="21" spans="2:12" x14ac:dyDescent="0.3">
      <c r="C21" s="10">
        <v>19</v>
      </c>
      <c r="D21" s="10">
        <v>50</v>
      </c>
      <c r="E21" s="10">
        <f>1012.7-1008.15</f>
        <v>4.5500000000000682</v>
      </c>
    </row>
    <row r="22" spans="2:12" x14ac:dyDescent="0.3">
      <c r="C22" s="10">
        <v>20</v>
      </c>
      <c r="D22" s="10">
        <v>50</v>
      </c>
      <c r="E22" s="10">
        <f>1014.5-1009.03</f>
        <v>5.4700000000000273</v>
      </c>
    </row>
    <row r="25" spans="2:12" x14ac:dyDescent="0.3">
      <c r="C25"/>
      <c r="E25" s="67" t="s">
        <v>28</v>
      </c>
      <c r="F25" s="68"/>
      <c r="G25" s="67" t="s">
        <v>21</v>
      </c>
      <c r="H25" s="69"/>
      <c r="I25" s="68"/>
      <c r="J25" s="67" t="s">
        <v>22</v>
      </c>
      <c r="K25" s="69"/>
      <c r="L25" s="68"/>
    </row>
    <row r="26" spans="2:12" x14ac:dyDescent="0.3">
      <c r="C26" s="29" t="s">
        <v>7</v>
      </c>
      <c r="D26" s="17" t="s">
        <v>18</v>
      </c>
      <c r="E26" s="17" t="s">
        <v>19</v>
      </c>
      <c r="F26" s="17" t="s">
        <v>20</v>
      </c>
      <c r="G26" s="46" t="s">
        <v>12</v>
      </c>
      <c r="H26" s="46" t="s">
        <v>13</v>
      </c>
      <c r="I26" s="46" t="s">
        <v>38</v>
      </c>
      <c r="J26" s="46" t="s">
        <v>12</v>
      </c>
      <c r="K26" s="46" t="s">
        <v>13</v>
      </c>
      <c r="L26" s="46" t="s">
        <v>38</v>
      </c>
    </row>
    <row r="27" spans="2:12" x14ac:dyDescent="0.3">
      <c r="C27" s="29" t="s">
        <v>35</v>
      </c>
      <c r="D27" s="17">
        <v>500</v>
      </c>
      <c r="E27" s="46">
        <f>SUM(E3:E12)</f>
        <v>43.290000000000106</v>
      </c>
      <c r="F27" s="46">
        <v>400</v>
      </c>
      <c r="G27" s="46">
        <v>390</v>
      </c>
      <c r="H27" s="48">
        <v>1.425</v>
      </c>
      <c r="I27" s="49">
        <f>H27*G27</f>
        <v>555.75</v>
      </c>
      <c r="J27" s="46" t="s">
        <v>46</v>
      </c>
      <c r="K27" s="47">
        <v>0.97499999999999998</v>
      </c>
      <c r="L27" s="46">
        <f>K27*400</f>
        <v>390</v>
      </c>
    </row>
    <row r="28" spans="2:12" x14ac:dyDescent="0.3">
      <c r="C28" s="29" t="s">
        <v>36</v>
      </c>
      <c r="D28" s="17">
        <v>500</v>
      </c>
      <c r="E28" s="46">
        <f>SUM(E13:E22)</f>
        <v>43.540000000000191</v>
      </c>
      <c r="F28" s="46">
        <v>250</v>
      </c>
      <c r="G28" s="46">
        <v>250</v>
      </c>
      <c r="H28" s="46">
        <v>4.9000000000000004</v>
      </c>
      <c r="I28" s="46">
        <f>H28*G28</f>
        <v>1225</v>
      </c>
      <c r="J28" s="66" t="s">
        <v>47</v>
      </c>
      <c r="K28" s="46">
        <v>4.3499999999999996</v>
      </c>
      <c r="L28" s="49">
        <f>K28*250</f>
        <v>1087.5</v>
      </c>
    </row>
    <row r="31" spans="2:12" ht="15" thickBot="1" x14ac:dyDescent="0.35">
      <c r="B31" s="25"/>
      <c r="C31" s="25"/>
      <c r="D31" s="25" t="s">
        <v>30</v>
      </c>
      <c r="E31" s="25" t="s">
        <v>31</v>
      </c>
      <c r="J31" s="19"/>
    </row>
    <row r="32" spans="2:12" ht="15" thickBot="1" x14ac:dyDescent="0.35">
      <c r="D32" s="58" t="s">
        <v>29</v>
      </c>
      <c r="E32" s="58" t="s">
        <v>27</v>
      </c>
      <c r="F32" s="12" t="s">
        <v>10</v>
      </c>
      <c r="G32" s="12" t="s">
        <v>15</v>
      </c>
      <c r="J32" s="19"/>
    </row>
    <row r="33" spans="2:16" x14ac:dyDescent="0.3">
      <c r="B33" s="50" t="s">
        <v>40</v>
      </c>
      <c r="C33" s="18" t="s">
        <v>8</v>
      </c>
      <c r="D33" s="64">
        <v>0.11</v>
      </c>
      <c r="E33" s="60">
        <v>0.13</v>
      </c>
      <c r="F33" s="13">
        <f>AVERAGE(D33:E33)</f>
        <v>0.12</v>
      </c>
      <c r="G33" s="13">
        <f>STDEV(D33:E33)</f>
        <v>1.4142135623730954E-2</v>
      </c>
      <c r="J33" s="19"/>
    </row>
    <row r="34" spans="2:16" x14ac:dyDescent="0.3">
      <c r="B34" s="51" t="s">
        <v>41</v>
      </c>
      <c r="C34" s="18" t="s">
        <v>8</v>
      </c>
      <c r="D34" s="33" t="s">
        <v>0</v>
      </c>
      <c r="E34" s="61">
        <v>0.02</v>
      </c>
      <c r="F34" s="21">
        <f>AVERAGE(0,E34)</f>
        <v>0.01</v>
      </c>
      <c r="G34" s="21">
        <f>STDEV(0,E34)</f>
        <v>1.4142135623730951E-2</v>
      </c>
      <c r="J34" s="19"/>
    </row>
    <row r="35" spans="2:16" x14ac:dyDescent="0.3">
      <c r="B35" s="52" t="s">
        <v>42</v>
      </c>
      <c r="C35" s="18" t="s">
        <v>8</v>
      </c>
      <c r="D35" s="33">
        <v>6.5000000000000002E-2</v>
      </c>
      <c r="E35" s="61">
        <v>0.05</v>
      </c>
      <c r="F35" s="14">
        <f>AVERAGE(D35:E35)</f>
        <v>5.7500000000000002E-2</v>
      </c>
      <c r="G35" s="14">
        <f>STDEV(D35:E35)</f>
        <v>1.0606601717798243E-2</v>
      </c>
      <c r="J35" s="19"/>
    </row>
    <row r="36" spans="2:16" x14ac:dyDescent="0.3">
      <c r="B36" s="53" t="s">
        <v>39</v>
      </c>
      <c r="C36" s="30" t="s">
        <v>16</v>
      </c>
      <c r="D36" s="33">
        <v>0.35499999999999998</v>
      </c>
      <c r="E36" s="61">
        <v>0.39</v>
      </c>
      <c r="F36" s="15">
        <f>AVERAGE(D36:E36)</f>
        <v>0.3725</v>
      </c>
      <c r="G36" s="15">
        <f>STDEV(D36:E36)</f>
        <v>2.4748737341529183E-2</v>
      </c>
    </row>
    <row r="37" spans="2:16" x14ac:dyDescent="0.3">
      <c r="B37" s="54" t="s">
        <v>43</v>
      </c>
      <c r="C37" s="18" t="s">
        <v>8</v>
      </c>
      <c r="D37" s="35">
        <v>1.21</v>
      </c>
      <c r="E37" s="61">
        <v>2.8</v>
      </c>
      <c r="F37" s="37">
        <f>AVERAGE(D37:E37)</f>
        <v>2.0049999999999999</v>
      </c>
      <c r="G37" s="37">
        <f>STDEV(D37:E37)</f>
        <v>1.1242997820866103</v>
      </c>
    </row>
    <row r="38" spans="2:16" x14ac:dyDescent="0.3">
      <c r="B38" s="55" t="s">
        <v>44</v>
      </c>
      <c r="C38" s="18" t="s">
        <v>16</v>
      </c>
      <c r="D38" s="35">
        <v>2.35E-2</v>
      </c>
      <c r="E38" s="62">
        <v>2.5000000000000001E-2</v>
      </c>
      <c r="F38" s="16">
        <f>AVERAGE(D38:E38)</f>
        <v>2.4250000000000001E-2</v>
      </c>
      <c r="G38" s="16">
        <f>STDEV(D38:E38)</f>
        <v>1.0606601717798223E-3</v>
      </c>
    </row>
    <row r="39" spans="2:16" ht="15" thickBot="1" x14ac:dyDescent="0.35">
      <c r="B39" s="56" t="s">
        <v>45</v>
      </c>
      <c r="C39" s="18" t="s">
        <v>16</v>
      </c>
      <c r="D39" s="38" t="s">
        <v>0</v>
      </c>
      <c r="E39" s="63" t="s">
        <v>0</v>
      </c>
      <c r="F39" s="57" t="s">
        <v>0</v>
      </c>
      <c r="G39" s="57" t="s">
        <v>6</v>
      </c>
    </row>
    <row r="40" spans="2:16" x14ac:dyDescent="0.3">
      <c r="O40"/>
      <c r="P40"/>
    </row>
    <row r="41" spans="2:16" ht="15" thickBot="1" x14ac:dyDescent="0.35">
      <c r="D41" s="25" t="s">
        <v>30</v>
      </c>
      <c r="E41" s="25" t="s">
        <v>31</v>
      </c>
      <c r="O41"/>
      <c r="P41"/>
    </row>
    <row r="42" spans="2:16" ht="15" thickBot="1" x14ac:dyDescent="0.35">
      <c r="B42" s="18"/>
      <c r="D42" s="11" t="s">
        <v>29</v>
      </c>
      <c r="E42" s="11" t="s">
        <v>27</v>
      </c>
      <c r="F42" s="12" t="s">
        <v>10</v>
      </c>
      <c r="G42" s="12" t="s">
        <v>15</v>
      </c>
      <c r="O42"/>
      <c r="P42"/>
    </row>
    <row r="43" spans="2:16" x14ac:dyDescent="0.3">
      <c r="B43" s="50" t="s">
        <v>40</v>
      </c>
      <c r="C43" s="18" t="s">
        <v>11</v>
      </c>
      <c r="D43" s="36">
        <v>1.3859999999999999</v>
      </c>
      <c r="E43" s="65">
        <v>3.6579999999999999</v>
      </c>
      <c r="F43" s="20">
        <f>AVERAGE(D43:E43)</f>
        <v>2.5219999999999998</v>
      </c>
      <c r="G43" s="20">
        <f>STDEV(D43:E43)</f>
        <v>1.6065466068558361</v>
      </c>
      <c r="H43" s="19"/>
      <c r="M43"/>
      <c r="N43"/>
    </row>
    <row r="44" spans="2:16" x14ac:dyDescent="0.3">
      <c r="B44" s="51" t="s">
        <v>41</v>
      </c>
      <c r="C44" s="18" t="s">
        <v>11</v>
      </c>
      <c r="D44" s="33" t="s">
        <v>0</v>
      </c>
      <c r="E44" s="34">
        <v>0.56299999999999994</v>
      </c>
      <c r="F44" s="22">
        <f>AVERAGE(0,E44)</f>
        <v>0.28149999999999997</v>
      </c>
      <c r="G44" s="22">
        <f>STDEV(0,E44)</f>
        <v>0.39810111780802621</v>
      </c>
      <c r="H44" s="19"/>
      <c r="M44"/>
      <c r="N44"/>
    </row>
    <row r="45" spans="2:16" x14ac:dyDescent="0.3">
      <c r="B45" s="52" t="s">
        <v>42</v>
      </c>
      <c r="C45" s="18" t="s">
        <v>11</v>
      </c>
      <c r="D45" s="28">
        <v>0.82899999999999996</v>
      </c>
      <c r="E45" s="34">
        <v>1.407</v>
      </c>
      <c r="F45" s="41">
        <f>AVERAGE(D45:E45)</f>
        <v>1.1179999999999999</v>
      </c>
      <c r="G45" s="41">
        <f>STDEV(D45:E45)</f>
        <v>0.40870771952582491</v>
      </c>
      <c r="H45" s="19"/>
      <c r="I45" s="45"/>
      <c r="M45"/>
      <c r="N45"/>
    </row>
    <row r="46" spans="2:16" x14ac:dyDescent="0.3">
      <c r="B46" s="53" t="s">
        <v>39</v>
      </c>
      <c r="C46" s="30" t="s">
        <v>25</v>
      </c>
      <c r="D46" s="28">
        <v>4.5670000000000002</v>
      </c>
      <c r="E46" s="39">
        <v>10.973000000000001</v>
      </c>
      <c r="F46" s="42">
        <f>AVERAGE(D46:E46)</f>
        <v>7.7700000000000005</v>
      </c>
      <c r="G46" s="42">
        <f>STDEV(D46:E46)</f>
        <v>4.5297260402810249</v>
      </c>
      <c r="H46" s="19"/>
    </row>
    <row r="47" spans="2:16" x14ac:dyDescent="0.3">
      <c r="B47" s="54" t="s">
        <v>43</v>
      </c>
      <c r="C47" s="18" t="s">
        <v>11</v>
      </c>
      <c r="D47" s="40">
        <v>15.625999999999999</v>
      </c>
      <c r="E47" s="39">
        <v>78.778000000000006</v>
      </c>
      <c r="F47" s="43">
        <f t="shared" ref="F47:F48" si="0">AVERAGE(D47:E47)</f>
        <v>47.202000000000005</v>
      </c>
      <c r="G47" s="43">
        <f>STDEV(D47:E47)</f>
        <v>44.655207445492849</v>
      </c>
      <c r="H47" s="19"/>
    </row>
    <row r="48" spans="2:16" x14ac:dyDescent="0.3">
      <c r="B48" s="55" t="s">
        <v>44</v>
      </c>
      <c r="C48" s="18" t="s">
        <v>11</v>
      </c>
      <c r="D48" s="28">
        <v>0.30299999999999999</v>
      </c>
      <c r="E48" s="34">
        <v>0.70299999999999996</v>
      </c>
      <c r="F48" s="44">
        <f t="shared" si="0"/>
        <v>0.503</v>
      </c>
      <c r="G48" s="44">
        <f>STDEV(D48:E48)</f>
        <v>0.28284271247461895</v>
      </c>
      <c r="H48" s="19"/>
    </row>
    <row r="49" spans="2:14" ht="15" thickBot="1" x14ac:dyDescent="0.35">
      <c r="B49" s="56" t="s">
        <v>45</v>
      </c>
      <c r="C49" s="18" t="s">
        <v>11</v>
      </c>
      <c r="D49" s="38" t="s">
        <v>0</v>
      </c>
      <c r="E49" s="63" t="s">
        <v>0</v>
      </c>
      <c r="F49" s="57" t="s">
        <v>0</v>
      </c>
      <c r="G49" s="57" t="s">
        <v>6</v>
      </c>
    </row>
    <row r="50" spans="2:14" x14ac:dyDescent="0.3">
      <c r="M50"/>
      <c r="N50"/>
    </row>
    <row r="51" spans="2:14" ht="15" thickBot="1" x14ac:dyDescent="0.35">
      <c r="D51" s="25" t="s">
        <v>30</v>
      </c>
      <c r="E51" s="25" t="s">
        <v>31</v>
      </c>
    </row>
    <row r="52" spans="2:14" ht="15" thickBot="1" x14ac:dyDescent="0.35">
      <c r="B52" s="18"/>
      <c r="C52" s="18"/>
      <c r="D52" s="11" t="s">
        <v>29</v>
      </c>
      <c r="E52" s="11" t="s">
        <v>27</v>
      </c>
      <c r="F52" s="12" t="s">
        <v>10</v>
      </c>
      <c r="G52" s="12" t="s">
        <v>15</v>
      </c>
    </row>
    <row r="53" spans="2:14" x14ac:dyDescent="0.3">
      <c r="B53" s="50" t="s">
        <v>40</v>
      </c>
      <c r="C53" s="18" t="s">
        <v>33</v>
      </c>
      <c r="D53" s="36">
        <v>5.8849999999999998</v>
      </c>
      <c r="E53" s="65">
        <v>15.925000000000001</v>
      </c>
      <c r="F53" s="20">
        <f>AVERAGE(D53:E53)</f>
        <v>10.905000000000001</v>
      </c>
      <c r="G53" s="20">
        <f>STDEV(D53:E53)</f>
        <v>7.0993520831129358</v>
      </c>
      <c r="H53" s="19"/>
      <c r="N53" s="1"/>
    </row>
    <row r="54" spans="2:14" x14ac:dyDescent="0.3">
      <c r="B54" s="51" t="s">
        <v>41</v>
      </c>
      <c r="C54" s="18" t="s">
        <v>33</v>
      </c>
      <c r="D54" s="33" t="s">
        <v>0</v>
      </c>
      <c r="E54" s="34">
        <v>2.4500000000000002</v>
      </c>
      <c r="F54" s="22">
        <f>AVERAGE(0,E54)</f>
        <v>1.2250000000000001</v>
      </c>
      <c r="G54" s="22">
        <f>STDEV(0,E54)</f>
        <v>1.7324116139070416</v>
      </c>
      <c r="H54" s="19"/>
      <c r="N54" s="1"/>
    </row>
    <row r="55" spans="2:14" x14ac:dyDescent="0.3">
      <c r="B55" s="52" t="s">
        <v>42</v>
      </c>
      <c r="C55" s="18" t="s">
        <v>33</v>
      </c>
      <c r="D55" s="28">
        <v>3.5650000000000004</v>
      </c>
      <c r="E55" s="34">
        <v>6.1379999999999999</v>
      </c>
      <c r="F55" s="41">
        <f>AVERAGE(D55:E55)</f>
        <v>4.8514999999999997</v>
      </c>
      <c r="G55" s="41">
        <f>STDEV(D55:E55)</f>
        <v>1.8193857479929885</v>
      </c>
      <c r="H55" s="19"/>
      <c r="N55" s="1"/>
    </row>
    <row r="56" spans="2:14" x14ac:dyDescent="0.3">
      <c r="B56" s="53" t="s">
        <v>39</v>
      </c>
      <c r="C56" s="30" t="s">
        <v>34</v>
      </c>
      <c r="D56" s="28">
        <v>19.815000000000001</v>
      </c>
      <c r="E56" s="34">
        <v>47.774999999999999</v>
      </c>
      <c r="F56" s="15">
        <f>AVERAGE(D56:E56)</f>
        <v>33.795000000000002</v>
      </c>
      <c r="G56" s="15">
        <f>STDEV(D56:E56)</f>
        <v>19.770705601975866</v>
      </c>
      <c r="H56" s="19"/>
      <c r="N56" s="1"/>
    </row>
    <row r="57" spans="2:14" x14ac:dyDescent="0.3">
      <c r="B57" s="54" t="s">
        <v>43</v>
      </c>
      <c r="C57" s="18" t="s">
        <v>33</v>
      </c>
      <c r="D57" s="40">
        <v>68.06</v>
      </c>
      <c r="E57" s="39">
        <v>343</v>
      </c>
      <c r="F57" s="43">
        <f>AVERAGE(D57:E57)</f>
        <v>205.53</v>
      </c>
      <c r="G57" s="43">
        <f>STDEV(D57:E57)</f>
        <v>194.41193841942936</v>
      </c>
      <c r="H57" s="19"/>
      <c r="N57" s="2"/>
    </row>
    <row r="58" spans="2:14" x14ac:dyDescent="0.3">
      <c r="B58" s="55" t="s">
        <v>44</v>
      </c>
      <c r="C58" s="18" t="s">
        <v>33</v>
      </c>
      <c r="D58" s="28">
        <v>1.3169999999999999</v>
      </c>
      <c r="E58" s="34">
        <v>3.0630000000000002</v>
      </c>
      <c r="F58" s="44">
        <f>AVERAGE(D58:E58)</f>
        <v>2.19</v>
      </c>
      <c r="G58" s="44">
        <f>STDEV(D58:E58)</f>
        <v>1.2346084399517125</v>
      </c>
      <c r="H58" s="19"/>
      <c r="N58" s="1"/>
    </row>
    <row r="59" spans="2:14" ht="15" thickBot="1" x14ac:dyDescent="0.35">
      <c r="B59" s="56" t="s">
        <v>45</v>
      </c>
      <c r="C59" s="18" t="s">
        <v>33</v>
      </c>
      <c r="D59" s="38" t="s">
        <v>0</v>
      </c>
      <c r="E59" s="63" t="s">
        <v>0</v>
      </c>
      <c r="F59" s="57" t="s">
        <v>0</v>
      </c>
      <c r="G59" s="57" t="s">
        <v>6</v>
      </c>
      <c r="H59" s="19"/>
      <c r="N59" s="59"/>
    </row>
    <row r="60" spans="2:14" x14ac:dyDescent="0.3">
      <c r="H60" s="19"/>
    </row>
  </sheetData>
  <mergeCells count="3">
    <mergeCell ref="E25:F25"/>
    <mergeCell ref="G25:I25"/>
    <mergeCell ref="J25:L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4CEFA-3731-43D4-A98B-872B8305E669}">
  <dimension ref="B2:J11"/>
  <sheetViews>
    <sheetView tabSelected="1" workbookViewId="0">
      <selection activeCell="I18" sqref="I18"/>
    </sheetView>
  </sheetViews>
  <sheetFormatPr defaultRowHeight="14.4" x14ac:dyDescent="0.3"/>
  <sheetData>
    <row r="2" spans="2:10" x14ac:dyDescent="0.3">
      <c r="B2" s="31"/>
      <c r="C2" s="32" t="s">
        <v>32</v>
      </c>
      <c r="D2" s="31"/>
    </row>
    <row r="3" spans="2:10" x14ac:dyDescent="0.3">
      <c r="C3" s="4" t="s">
        <v>11</v>
      </c>
      <c r="D3" s="3" t="s">
        <v>14</v>
      </c>
      <c r="F3" s="4" t="s">
        <v>26</v>
      </c>
      <c r="G3" s="3" t="s">
        <v>14</v>
      </c>
      <c r="I3" s="4" t="s">
        <v>33</v>
      </c>
      <c r="J3" s="3" t="s">
        <v>14</v>
      </c>
    </row>
    <row r="4" spans="2:10" x14ac:dyDescent="0.3">
      <c r="B4" s="4" t="s">
        <v>1</v>
      </c>
      <c r="C4" s="3" t="s">
        <v>0</v>
      </c>
      <c r="D4" s="5" t="s">
        <v>6</v>
      </c>
      <c r="F4" s="3" t="s">
        <v>0</v>
      </c>
      <c r="G4" s="5" t="s">
        <v>6</v>
      </c>
      <c r="I4" s="3" t="s">
        <v>0</v>
      </c>
      <c r="J4" s="5" t="s">
        <v>6</v>
      </c>
    </row>
    <row r="5" spans="2:10" x14ac:dyDescent="0.3">
      <c r="B5" s="4" t="s">
        <v>2</v>
      </c>
      <c r="C5" s="5">
        <f>'fly heads 2021'!F43</f>
        <v>2.5219999999999998</v>
      </c>
      <c r="D5" s="23">
        <f>'fly heads 2021'!G43</f>
        <v>1.6065466068558361</v>
      </c>
      <c r="F5" s="23">
        <f>'fly heads 2021'!F33</f>
        <v>0.12</v>
      </c>
      <c r="G5" s="23">
        <f>'fly heads 2021'!G33</f>
        <v>1.4142135623730954E-2</v>
      </c>
      <c r="I5" s="5">
        <f>'fly heads 2021'!F53</f>
        <v>10.905000000000001</v>
      </c>
      <c r="J5" s="5">
        <f>'fly heads 2021'!G53</f>
        <v>7.0993520831129358</v>
      </c>
    </row>
    <row r="6" spans="2:10" x14ac:dyDescent="0.3">
      <c r="B6" s="4" t="s">
        <v>3</v>
      </c>
      <c r="C6" s="5">
        <f>'fly heads 2021'!F44</f>
        <v>0.28149999999999997</v>
      </c>
      <c r="D6" s="23">
        <f>'fly heads 2021'!G44</f>
        <v>0.39810111780802621</v>
      </c>
      <c r="F6" s="23">
        <f>'fly heads 2021'!F34</f>
        <v>0.01</v>
      </c>
      <c r="G6" s="23">
        <f>'fly heads 2021'!G34</f>
        <v>1.4142135623730951E-2</v>
      </c>
      <c r="I6" s="5">
        <f>'fly heads 2021'!F54</f>
        <v>1.2250000000000001</v>
      </c>
      <c r="J6" s="5">
        <f>'fly heads 2021'!G54</f>
        <v>1.7324116139070416</v>
      </c>
    </row>
    <row r="7" spans="2:10" x14ac:dyDescent="0.3">
      <c r="B7" s="9" t="s">
        <v>4</v>
      </c>
      <c r="C7" s="8">
        <f>'fly heads 2021'!F45</f>
        <v>1.1179999999999999</v>
      </c>
      <c r="D7" s="24">
        <f>'fly heads 2021'!G45</f>
        <v>0.40870771952582491</v>
      </c>
      <c r="E7" s="26"/>
      <c r="F7" s="24">
        <f>'fly heads 2021'!F35</f>
        <v>5.7500000000000002E-2</v>
      </c>
      <c r="G7" s="24">
        <f>'fly heads 2021'!G35</f>
        <v>1.0606601717798243E-2</v>
      </c>
      <c r="H7" s="26"/>
      <c r="I7" s="8">
        <f>'fly heads 2021'!F55</f>
        <v>4.8514999999999997</v>
      </c>
      <c r="J7" s="8">
        <f>'fly heads 2021'!G55</f>
        <v>1.8193857479929885</v>
      </c>
    </row>
    <row r="8" spans="2:10" x14ac:dyDescent="0.3">
      <c r="B8" s="4" t="s">
        <v>5</v>
      </c>
      <c r="C8" s="7">
        <f>'fly heads 2021'!F46*1000</f>
        <v>7770.0000000000009</v>
      </c>
      <c r="D8" s="7">
        <f>'fly heads 2021'!G46*1000</f>
        <v>4529.7260402810252</v>
      </c>
      <c r="F8" s="6">
        <f>'fly heads 2021'!F36*1000</f>
        <v>372.5</v>
      </c>
      <c r="G8" s="5">
        <f>'fly heads 2021'!G36*1000</f>
        <v>24.748737341529182</v>
      </c>
      <c r="I8" s="7">
        <f>'fly heads 2021'!F56*1000</f>
        <v>33795</v>
      </c>
      <c r="J8" s="7">
        <f>'fly heads 2021'!G56*1000</f>
        <v>19770.705601975867</v>
      </c>
    </row>
    <row r="9" spans="2:10" x14ac:dyDescent="0.3">
      <c r="B9" s="4" t="s">
        <v>23</v>
      </c>
      <c r="C9" s="5">
        <f>'fly heads 2021'!F48</f>
        <v>0.503</v>
      </c>
      <c r="D9" s="23">
        <f>'fly heads 2021'!G48</f>
        <v>0.28284271247461895</v>
      </c>
      <c r="F9" s="23">
        <f>'fly heads 2021'!F38</f>
        <v>2.4250000000000001E-2</v>
      </c>
      <c r="G9" s="23">
        <f>'fly heads 2021'!G38</f>
        <v>1.0606601717798223E-3</v>
      </c>
      <c r="I9" s="5">
        <f>'fly heads 2021'!F58</f>
        <v>2.19</v>
      </c>
      <c r="J9" s="5">
        <f>'fly heads 2021'!G58</f>
        <v>1.2346084399517125</v>
      </c>
    </row>
    <row r="10" spans="2:10" x14ac:dyDescent="0.3">
      <c r="B10" s="4" t="s">
        <v>24</v>
      </c>
      <c r="C10" s="6">
        <f>'fly heads 2021'!F47</f>
        <v>47.202000000000005</v>
      </c>
      <c r="D10" s="5">
        <f>'fly heads 2021'!G47</f>
        <v>44.655207445492849</v>
      </c>
      <c r="F10" s="23">
        <f>'fly heads 2021'!F37</f>
        <v>2.0049999999999999</v>
      </c>
      <c r="G10" s="23">
        <f>'fly heads 2021'!G37</f>
        <v>1.1242997820866103</v>
      </c>
      <c r="I10" s="6">
        <f>'fly heads 2021'!F57</f>
        <v>205.53</v>
      </c>
      <c r="J10" s="6">
        <f>'fly heads 2021'!G57</f>
        <v>194.41193841942936</v>
      </c>
    </row>
    <row r="11" spans="2:10" x14ac:dyDescent="0.3">
      <c r="B11" s="27" t="s">
        <v>9</v>
      </c>
      <c r="C11" s="27"/>
      <c r="D11" s="27"/>
      <c r="E11" s="27"/>
      <c r="F11" s="27"/>
      <c r="G11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fly heads 2021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2022-06-15T09:23:02Z</dcterms:modified>
</cp:coreProperties>
</file>